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" sheetId="5" r:id="rId5"/>
  </sheets>
  <definedNames>
    <definedName name="_xlnm.Print_Area" localSheetId="4">'січень'!$A$1:$R$87</definedName>
  </definedNames>
  <calcPr fullCalcOnLoad="1"/>
</workbook>
</file>

<file path=xl/sharedStrings.xml><?xml version="1.0" encoding="utf-8"?>
<sst xmlns="http://schemas.openxmlformats.org/spreadsheetml/2006/main" count="628" uniqueCount="158">
  <si>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</si>
  <si>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</si>
  <si>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</si>
  <si>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</si>
  <si>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</si>
  <si>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</si>
  <si>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</si>
  <si>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</si>
  <si>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</si>
  <si>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</si>
  <si>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</si>
  <si>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</si>
  <si>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</si>
  <si>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</si>
  <si>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</si>
  <si>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</si>
  <si>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</si>
  <si>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</si>
  <si>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</si>
  <si>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</si>
  <si>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</si>
  <si>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</si>
  <si>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</si>
  <si>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</si>
  <si>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</si>
  <si>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</si>
  <si>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</si>
  <si>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</si>
  <si>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</si>
  <si>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</si>
  <si>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</si>
  <si>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</si>
  <si>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</si>
  <si>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</si>
  <si>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</si>
  <si>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</si>
  <si>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</si>
  <si>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</si>
  <si>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</si>
  <si>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</si>
  <si>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</si>
  <si>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</si>
  <si>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</si>
  <si>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</si>
  <si>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</si>
  <si>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</si>
  <si>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</si>
  <si>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</si>
  <si>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</si>
  <si>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</si>
  <si>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</si>
  <si>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</si>
  <si>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</si>
  <si>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</si>
  <si>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</si>
  <si>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</si>
  <si>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</si>
  <si>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</si>
  <si>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</si>
  <si>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</si>
  <si>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</si>
  <si>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</si>
  <si>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</si>
  <si>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</si>
  <si>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</si>
  <si>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</si>
  <si>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</si>
  <si>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</si>
  <si>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</si>
  <si>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</si>
  <si>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</si>
  <si>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</si>
  <si>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</si>
  <si>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</si>
  <si>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</si>
  <si>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</si>
  <si>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</si>
  <si>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</si>
  <si>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</si>
  <si>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</si>
  <si>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</si>
  <si>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</si>
  <si>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</si>
  <si>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</si>
  <si>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</si>
  <si>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</si>
  <si>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</si>
  <si>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</si>
  <si>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</si>
  <si>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</si>
  <si>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</si>
  <si>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</si>
  <si>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</si>
  <si>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</si>
  <si>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</si>
  <si>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</si>
  <si>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</si>
  <si>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</si>
  <si>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</si>
  <si>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</si>
  <si>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</si>
  <si>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</si>
  <si>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</si>
  <si>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</si>
  <si>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</si>
  <si>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</si>
  <si>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</si>
  <si>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</si>
  <si>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</si>
  <si>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</si>
  <si>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</si>
  <si>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</si>
  <si>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</si>
  <si>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</si>
  <si>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</si>
  <si>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</si>
  <si>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</si>
  <si>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</si>
  <si>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</si>
  <si>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</si>
  <si>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</si>
  <si>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</si>
  <si>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</si>
  <si>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</si>
  <si>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</si>
  <si>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</si>
  <si>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</si>
  <si>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</si>
  <si>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</si>
  <si>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</si>
  <si>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</si>
  <si>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</si>
  <si>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</si>
  <si>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</si>
  <si>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</si>
  <si>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</si>
  <si>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</si>
  <si>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</si>
  <si>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</si>
  <si>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</si>
  <si>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</si>
  <si>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</si>
  <si>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</si>
  <si>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</si>
  <si>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</si>
  <si>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</si>
  <si>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</si>
  <si>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</si>
  <si>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</si>
  <si>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</si>
  <si>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</si>
  <si>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</si>
  <si>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</si>
  <si>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</si>
  <si>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</si>
  <si>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</si>
  <si>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27.04.2016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</si>
  <si>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26.04.16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</si>
</sst>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7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6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4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4" fillId="0" borderId="10" xfId="0" applyNumberFormat="1" applyFont="1" applyBorder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88" zoomScaleNormal="8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86" sqref="E8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90" t="s">
        <v>156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/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00" t="s">
        <v>153</v>
      </c>
      <c r="N3" s="203" t="s">
        <v>154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150</v>
      </c>
      <c r="F4" s="206" t="s">
        <v>34</v>
      </c>
      <c r="G4" s="208" t="s">
        <v>151</v>
      </c>
      <c r="H4" s="201" t="s">
        <v>152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10" t="s">
        <v>157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78.7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155</v>
      </c>
      <c r="L5" s="214"/>
      <c r="M5" s="202"/>
      <c r="N5" s="211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271674.68</v>
      </c>
      <c r="F8" s="15">
        <f>F9+F15+F18+F19+F20+F32+F17</f>
        <v>263972.54</v>
      </c>
      <c r="G8" s="15">
        <f aca="true" t="shared" si="0" ref="G8:G21">F8-E8</f>
        <v>-7702.140000000014</v>
      </c>
      <c r="H8" s="38">
        <f>F8/E8*100</f>
        <v>97.1649400672893</v>
      </c>
      <c r="I8" s="28">
        <f>F8-D8</f>
        <v>-577077.46</v>
      </c>
      <c r="J8" s="28">
        <f>F8/D8*100</f>
        <v>31.38606979371024</v>
      </c>
      <c r="K8" s="15">
        <f>F8-198537.14</f>
        <v>65435.399999999965</v>
      </c>
      <c r="L8" s="15">
        <f>F8/198537.14*100</f>
        <v>132.9587703338529</v>
      </c>
      <c r="M8" s="15">
        <f>M9+M15+M18+M19+M20+M32+M17</f>
        <v>71360.49999999999</v>
      </c>
      <c r="N8" s="15">
        <f>N9+N15+N18+N19+N20+N32+N17</f>
        <v>54184.82999999997</v>
      </c>
      <c r="O8" s="15">
        <f>N8-M8</f>
        <v>-17175.670000000013</v>
      </c>
      <c r="P8" s="15">
        <f>N8/M8*100</f>
        <v>75.9311243615165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145783.27</v>
      </c>
      <c r="F9" s="170">
        <v>144830.59</v>
      </c>
      <c r="G9" s="36">
        <f t="shared" si="0"/>
        <v>-952.679999999993</v>
      </c>
      <c r="H9" s="32">
        <f>F9/E9*100</f>
        <v>99.34650937655604</v>
      </c>
      <c r="I9" s="42">
        <f>F9-D9</f>
        <v>-314869.41000000003</v>
      </c>
      <c r="J9" s="42">
        <f>F9/D9*100</f>
        <v>31.505457907330868</v>
      </c>
      <c r="K9" s="106">
        <f>F9-110765.65</f>
        <v>34064.94</v>
      </c>
      <c r="L9" s="106">
        <f>F9/110765.65*100</f>
        <v>130.75406500119848</v>
      </c>
      <c r="M9" s="32">
        <f>E9-березень!E9</f>
        <v>39799.999999999985</v>
      </c>
      <c r="N9" s="178">
        <f>F9-березень!F9</f>
        <v>32548.76999999999</v>
      </c>
      <c r="O9" s="40">
        <f>N9-M9</f>
        <v>-7251.229999999996</v>
      </c>
      <c r="P9" s="42">
        <f>N9/M9*100</f>
        <v>81.78082914572865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127552.43</v>
      </c>
      <c r="G10" s="109">
        <f t="shared" si="0"/>
        <v>-3364.4100000000035</v>
      </c>
      <c r="H10" s="32">
        <f aca="true" t="shared" si="1" ref="H10:H31">F10/E10*100</f>
        <v>97.4301167061472</v>
      </c>
      <c r="I10" s="110">
        <f aca="true" t="shared" si="2" ref="I10:I32">F10-D10</f>
        <v>-283887.57</v>
      </c>
      <c r="J10" s="110">
        <f aca="true" t="shared" si="3" ref="J10:J31">F10/D10*100</f>
        <v>31.001465584289324</v>
      </c>
      <c r="K10" s="112">
        <f>F10-98351.31</f>
        <v>29201.119999999995</v>
      </c>
      <c r="L10" s="112">
        <f>F10/98351.31*100</f>
        <v>129.6906263881996</v>
      </c>
      <c r="M10" s="111">
        <f>E10-березень!E10</f>
        <v>36300</v>
      </c>
      <c r="N10" s="179">
        <f>F10-березень!F10</f>
        <v>29088.04999999999</v>
      </c>
      <c r="O10" s="112">
        <f aca="true" t="shared" si="4" ref="O10:O32">N10-M10</f>
        <v>-7211.950000000012</v>
      </c>
      <c r="P10" s="42">
        <f aca="true" t="shared" si="5" ref="P10:P25">N10/M10*100</f>
        <v>80.13236914600547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9843.03</v>
      </c>
      <c r="G11" s="109">
        <f t="shared" si="0"/>
        <v>1208.0900000000001</v>
      </c>
      <c r="H11" s="32">
        <f t="shared" si="1"/>
        <v>113.99071678552485</v>
      </c>
      <c r="I11" s="110">
        <f t="shared" si="2"/>
        <v>-13156.97</v>
      </c>
      <c r="J11" s="110">
        <f t="shared" si="3"/>
        <v>42.79578260869565</v>
      </c>
      <c r="K11" s="112">
        <f>F11-6301.46</f>
        <v>3541.5700000000006</v>
      </c>
      <c r="L11" s="112">
        <f>F11/6301.46*100</f>
        <v>156.20237214867666</v>
      </c>
      <c r="M11" s="111">
        <f>E11-березень!E11</f>
        <v>1550.000000000001</v>
      </c>
      <c r="N11" s="179">
        <f>F11-березень!F11</f>
        <v>1765.920000000001</v>
      </c>
      <c r="O11" s="112">
        <f t="shared" si="4"/>
        <v>215.92000000000007</v>
      </c>
      <c r="P11" s="42">
        <f t="shared" si="5"/>
        <v>113.93032258064515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2931.02</v>
      </c>
      <c r="G12" s="109">
        <f t="shared" si="0"/>
        <v>1240.41</v>
      </c>
      <c r="H12" s="32">
        <f t="shared" si="1"/>
        <v>173.37055855578757</v>
      </c>
      <c r="I12" s="110">
        <f t="shared" si="2"/>
        <v>-3568.98</v>
      </c>
      <c r="J12" s="110">
        <f t="shared" si="3"/>
        <v>45.092615384615385</v>
      </c>
      <c r="K12" s="112">
        <f>F12-1718.24</f>
        <v>1212.78</v>
      </c>
      <c r="L12" s="112">
        <f>F12/1718.24*100</f>
        <v>170.58268926343234</v>
      </c>
      <c r="M12" s="111">
        <f>E12-березень!E12</f>
        <v>585</v>
      </c>
      <c r="N12" s="179">
        <f>F12-березень!F12</f>
        <v>551.5500000000002</v>
      </c>
      <c r="O12" s="112">
        <f t="shared" si="4"/>
        <v>-33.44999999999982</v>
      </c>
      <c r="P12" s="42">
        <f t="shared" si="5"/>
        <v>94.28205128205131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3077.75</v>
      </c>
      <c r="G13" s="109">
        <f t="shared" si="0"/>
        <v>412.90999999999985</v>
      </c>
      <c r="H13" s="32">
        <f t="shared" si="1"/>
        <v>115.49473889614386</v>
      </c>
      <c r="I13" s="110">
        <f t="shared" si="2"/>
        <v>-9322.25</v>
      </c>
      <c r="J13" s="110">
        <f t="shared" si="3"/>
        <v>24.820564516129032</v>
      </c>
      <c r="K13" s="112">
        <f>F13-1662.77</f>
        <v>1414.98</v>
      </c>
      <c r="L13" s="112">
        <f>F13/1662.77*100</f>
        <v>185.09775855951213</v>
      </c>
      <c r="M13" s="111">
        <f>E13-березень!E13</f>
        <v>755.0000000000002</v>
      </c>
      <c r="N13" s="179">
        <f>F13-березень!F13</f>
        <v>652.81</v>
      </c>
      <c r="O13" s="112">
        <f t="shared" si="4"/>
        <v>-102.19000000000028</v>
      </c>
      <c r="P13" s="42">
        <f t="shared" si="5"/>
        <v>86.46490066225162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120</v>
      </c>
      <c r="F15" s="170">
        <v>185.84</v>
      </c>
      <c r="G15" s="36">
        <f t="shared" si="0"/>
        <v>65.84</v>
      </c>
      <c r="H15" s="32">
        <f>F15/E15*100</f>
        <v>154.86666666666667</v>
      </c>
      <c r="I15" s="42">
        <f t="shared" si="2"/>
        <v>-314.15999999999997</v>
      </c>
      <c r="J15" s="42">
        <f t="shared" si="3"/>
        <v>37.168</v>
      </c>
      <c r="K15" s="43">
        <f>F15-(-910.25)</f>
        <v>1096.09</v>
      </c>
      <c r="L15" s="43">
        <f>F15/(-910.25)*100</f>
        <v>-20.416369129360064</v>
      </c>
      <c r="M15" s="32">
        <f>E15-березень!E15</f>
        <v>10</v>
      </c>
      <c r="N15" s="178">
        <f>F15-березень!F15</f>
        <v>0.7800000000000011</v>
      </c>
      <c r="O15" s="40">
        <f t="shared" si="4"/>
        <v>-9.219999999999999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F17-0.09</f>
        <v>-0.039999999999999994</v>
      </c>
      <c r="L17" s="40">
        <f>F17/0.09*100</f>
        <v>55.55555555555556</v>
      </c>
      <c r="M17" s="32">
        <f>E17-березень!E17</f>
        <v>0</v>
      </c>
      <c r="N17" s="178">
        <f>F17-березень!F17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E18-березень!E18</f>
        <v>0</v>
      </c>
      <c r="N18" s="178">
        <f>F18-березень!F18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28560.4</v>
      </c>
      <c r="F19" s="172">
        <v>19693.59</v>
      </c>
      <c r="G19" s="36">
        <f t="shared" si="0"/>
        <v>-8866.810000000001</v>
      </c>
      <c r="H19" s="32">
        <f t="shared" si="1"/>
        <v>68.95418131398719</v>
      </c>
      <c r="I19" s="42">
        <f t="shared" si="2"/>
        <v>-90206.41</v>
      </c>
      <c r="J19" s="42">
        <f t="shared" si="3"/>
        <v>17.91955414012739</v>
      </c>
      <c r="K19" s="185">
        <f>F19-16357.62</f>
        <v>3335.9699999999993</v>
      </c>
      <c r="L19" s="185">
        <f>F19/16357.62*100</f>
        <v>120.39398152053904</v>
      </c>
      <c r="M19" s="32">
        <f>E19-березень!E19</f>
        <v>8500</v>
      </c>
      <c r="N19" s="178">
        <f>F19-березень!F19</f>
        <v>1422.7000000000007</v>
      </c>
      <c r="O19" s="40">
        <f t="shared" si="4"/>
        <v>-7077.299999999999</v>
      </c>
      <c r="P19" s="42">
        <f t="shared" si="5"/>
        <v>16.737647058823537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97201.01000000001</v>
      </c>
      <c r="F20" s="184">
        <f>F21+F25+F27+F26</f>
        <v>99156.67</v>
      </c>
      <c r="G20" s="36">
        <f t="shared" si="0"/>
        <v>1955.659999999989</v>
      </c>
      <c r="H20" s="32">
        <f t="shared" si="1"/>
        <v>102.01197497844929</v>
      </c>
      <c r="I20" s="42">
        <f t="shared" si="2"/>
        <v>-171783.33000000002</v>
      </c>
      <c r="J20" s="42">
        <f t="shared" si="3"/>
        <v>36.5972798405551</v>
      </c>
      <c r="K20" s="132">
        <f>F20-70294.13</f>
        <v>28862.539999999994</v>
      </c>
      <c r="L20" s="132">
        <f>F20/70294.13*100</f>
        <v>141.0596731192206</v>
      </c>
      <c r="M20" s="32">
        <f>M21+M25+M26+M27</f>
        <v>23050.5</v>
      </c>
      <c r="N20" s="178">
        <f>F20-березень!F20</f>
        <v>20212.579999999987</v>
      </c>
      <c r="O20" s="40">
        <f t="shared" si="4"/>
        <v>-2837.920000000013</v>
      </c>
      <c r="P20" s="42">
        <f t="shared" si="5"/>
        <v>87.68824971258753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51686.26</v>
      </c>
      <c r="F21" s="173">
        <f>F22+F23+F24</f>
        <v>49161.28999999999</v>
      </c>
      <c r="G21" s="36">
        <f t="shared" si="0"/>
        <v>-2524.9700000000084</v>
      </c>
      <c r="H21" s="32">
        <f t="shared" si="1"/>
        <v>95.11481387896897</v>
      </c>
      <c r="I21" s="42">
        <f t="shared" si="2"/>
        <v>-112238.71</v>
      </c>
      <c r="J21" s="42">
        <f t="shared" si="3"/>
        <v>30.45928748451053</v>
      </c>
      <c r="K21" s="132">
        <f>F21-37283.9</f>
        <v>11877.389999999992</v>
      </c>
      <c r="L21" s="132">
        <f>F21/37283.9*100</f>
        <v>131.85661907686693</v>
      </c>
      <c r="M21" s="32">
        <f>M22+M23+M24</f>
        <v>14845</v>
      </c>
      <c r="N21" s="178">
        <f>F21-березень!F21</f>
        <v>8773.179999999993</v>
      </c>
      <c r="O21" s="40">
        <f t="shared" si="4"/>
        <v>-6071.820000000007</v>
      </c>
      <c r="P21" s="42">
        <f t="shared" si="5"/>
        <v>59.098551700909354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6631.6</v>
      </c>
      <c r="F22" s="171">
        <v>6467.26</v>
      </c>
      <c r="G22" s="109">
        <f>F22-E22</f>
        <v>-164.34000000000015</v>
      </c>
      <c r="H22" s="111">
        <f t="shared" si="1"/>
        <v>97.52186500995235</v>
      </c>
      <c r="I22" s="110">
        <f t="shared" si="2"/>
        <v>-12032.74</v>
      </c>
      <c r="J22" s="110">
        <f t="shared" si="3"/>
        <v>34.95816216216217</v>
      </c>
      <c r="K22" s="174">
        <f>F22-4219.07</f>
        <v>2248.1900000000005</v>
      </c>
      <c r="L22" s="174">
        <f>F22/4219.07*100</f>
        <v>153.28638775843967</v>
      </c>
      <c r="M22" s="111">
        <f>E22-березень!E22</f>
        <v>3100.0000000000005</v>
      </c>
      <c r="N22" s="179">
        <f>F22-березень!F22</f>
        <v>2272.37</v>
      </c>
      <c r="O22" s="112">
        <f t="shared" si="4"/>
        <v>-827.6300000000006</v>
      </c>
      <c r="P22" s="110">
        <f t="shared" si="5"/>
        <v>73.30225806451611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276.84</v>
      </c>
      <c r="F23" s="171">
        <v>380.33</v>
      </c>
      <c r="G23" s="109">
        <f>F23-E23</f>
        <v>103.49000000000001</v>
      </c>
      <c r="H23" s="111">
        <f t="shared" si="1"/>
        <v>137.3826036699899</v>
      </c>
      <c r="I23" s="110">
        <f t="shared" si="2"/>
        <v>-2419.67</v>
      </c>
      <c r="J23" s="110">
        <f t="shared" si="3"/>
        <v>13.583214285714284</v>
      </c>
      <c r="K23" s="110">
        <f>F23-141.72</f>
        <v>238.60999999999999</v>
      </c>
      <c r="L23" s="110">
        <f>F23/141.72*100</f>
        <v>268.3672029353655</v>
      </c>
      <c r="M23" s="111">
        <f>E23-березень!E23</f>
        <v>74.99999999999997</v>
      </c>
      <c r="N23" s="179">
        <f>F23-березень!F23</f>
        <v>66.44999999999999</v>
      </c>
      <c r="O23" s="112">
        <f t="shared" si="4"/>
        <v>-8.549999999999983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44777.82</v>
      </c>
      <c r="F24" s="171">
        <v>42313.7</v>
      </c>
      <c r="G24" s="109">
        <f>F24-E24</f>
        <v>-2464.1200000000026</v>
      </c>
      <c r="H24" s="111">
        <f t="shared" si="1"/>
        <v>94.49700767031534</v>
      </c>
      <c r="I24" s="110">
        <f t="shared" si="2"/>
        <v>-97786.3</v>
      </c>
      <c r="J24" s="110">
        <f t="shared" si="3"/>
        <v>30.202498215560315</v>
      </c>
      <c r="K24" s="174">
        <f>F24-32923.11</f>
        <v>9390.589999999997</v>
      </c>
      <c r="L24" s="174">
        <f>F24/32923.11*100</f>
        <v>128.52279143738244</v>
      </c>
      <c r="M24" s="111">
        <f>E24-березень!E24</f>
        <v>11670</v>
      </c>
      <c r="N24" s="179">
        <f>F24-березень!F24</f>
        <v>6434.360000000001</v>
      </c>
      <c r="O24" s="112">
        <f t="shared" si="4"/>
        <v>-5235.639999999999</v>
      </c>
      <c r="P24" s="110">
        <f t="shared" si="5"/>
        <v>55.13590402742074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19.51</v>
      </c>
      <c r="F25" s="172">
        <v>32.22</v>
      </c>
      <c r="G25" s="36">
        <f>F25-E25</f>
        <v>12.709999999999997</v>
      </c>
      <c r="H25" s="32">
        <f t="shared" si="1"/>
        <v>165.14607893388003</v>
      </c>
      <c r="I25" s="42">
        <f t="shared" si="2"/>
        <v>-44.78</v>
      </c>
      <c r="J25" s="42">
        <f t="shared" si="3"/>
        <v>41.84415584415584</v>
      </c>
      <c r="K25" s="132">
        <f>F25-23.16</f>
        <v>9.059999999999999</v>
      </c>
      <c r="L25" s="132">
        <f>F25/23.16*100</f>
        <v>139.11917098445593</v>
      </c>
      <c r="M25" s="32">
        <f>E25-березень!E25</f>
        <v>5.500000000000002</v>
      </c>
      <c r="N25" s="178">
        <f>F25-березень!F25</f>
        <v>7.41</v>
      </c>
      <c r="O25" s="40">
        <f t="shared" si="4"/>
        <v>1.9099999999999984</v>
      </c>
      <c r="P25" s="42">
        <f t="shared" si="5"/>
        <v>134.7272727272727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-107.01</v>
      </c>
      <c r="G26" s="36">
        <f aca="true" t="shared" si="6" ref="G26:G32">F26-E26</f>
        <v>-107.01</v>
      </c>
      <c r="H26" s="32"/>
      <c r="I26" s="42">
        <f t="shared" si="2"/>
        <v>-107.01</v>
      </c>
      <c r="J26" s="42"/>
      <c r="K26" s="132">
        <f>F26-(-59.24)</f>
        <v>-47.77</v>
      </c>
      <c r="L26" s="132">
        <f>F26/(-59.24)*100</f>
        <v>180.63808237677245</v>
      </c>
      <c r="M26" s="32">
        <f>E26-березень!E26</f>
        <v>0</v>
      </c>
      <c r="N26" s="178">
        <f>F26-березень!F26</f>
        <v>-25.47</v>
      </c>
      <c r="O26" s="40">
        <f t="shared" si="4"/>
        <v>-25.47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50070.17</v>
      </c>
      <c r="G27" s="36">
        <f t="shared" si="6"/>
        <v>4574.93</v>
      </c>
      <c r="H27" s="32">
        <f t="shared" si="1"/>
        <v>110.0558432046957</v>
      </c>
      <c r="I27" s="42">
        <f t="shared" si="2"/>
        <v>-59392.83</v>
      </c>
      <c r="J27" s="42">
        <f t="shared" si="3"/>
        <v>45.74163872724117</v>
      </c>
      <c r="K27" s="106">
        <f>F27-33046.32</f>
        <v>17023.85</v>
      </c>
      <c r="L27" s="106">
        <f>F27/33046.32*100</f>
        <v>151.51511575267685</v>
      </c>
      <c r="M27" s="32">
        <f>E27-березень!E27</f>
        <v>8200</v>
      </c>
      <c r="N27" s="178">
        <f>F27-березень!F27</f>
        <v>11457.46</v>
      </c>
      <c r="O27" s="40">
        <f t="shared" si="4"/>
        <v>3257.459999999999</v>
      </c>
      <c r="P27" s="42">
        <f>N27/M27*100</f>
        <v>139.7251219512195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11954.18</v>
      </c>
      <c r="G29" s="109">
        <f t="shared" si="6"/>
        <v>698.210000000001</v>
      </c>
      <c r="H29" s="111">
        <f t="shared" si="1"/>
        <v>106.20301937549586</v>
      </c>
      <c r="I29" s="110">
        <f t="shared" si="2"/>
        <v>-15645.82</v>
      </c>
      <c r="J29" s="110">
        <f t="shared" si="3"/>
        <v>43.3122463768116</v>
      </c>
      <c r="K29" s="142">
        <f>F29-8182.41</f>
        <v>3771.7700000000004</v>
      </c>
      <c r="L29" s="142">
        <f>F29/8182.41*100</f>
        <v>146.09607682822053</v>
      </c>
      <c r="M29" s="111">
        <f>E29-березень!E29</f>
        <v>1900</v>
      </c>
      <c r="N29" s="179">
        <f>F29-березень!F29</f>
        <v>2141.6900000000005</v>
      </c>
      <c r="O29" s="112">
        <f t="shared" si="4"/>
        <v>241.6900000000005</v>
      </c>
      <c r="P29" s="110">
        <f>N29/M29*100</f>
        <v>112.7205263157895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38108.12</v>
      </c>
      <c r="G30" s="109">
        <f t="shared" si="6"/>
        <v>3872.040000000001</v>
      </c>
      <c r="H30" s="111">
        <f t="shared" si="1"/>
        <v>111.309822853551</v>
      </c>
      <c r="I30" s="110">
        <f t="shared" si="2"/>
        <v>-43703.88</v>
      </c>
      <c r="J30" s="110">
        <f t="shared" si="3"/>
        <v>46.58011049723757</v>
      </c>
      <c r="K30" s="142">
        <f>F30-24859.36</f>
        <v>13248.760000000002</v>
      </c>
      <c r="L30" s="142">
        <f>F30/24859.36*100</f>
        <v>153.29485553932201</v>
      </c>
      <c r="M30" s="111">
        <f>E30-березень!E30</f>
        <v>6300</v>
      </c>
      <c r="N30" s="179">
        <f>F30-березень!F30</f>
        <v>9315.740000000002</v>
      </c>
      <c r="O30" s="112">
        <f t="shared" si="4"/>
        <v>3015.7400000000016</v>
      </c>
      <c r="P30" s="110">
        <f>N30/M30*100</f>
        <v>147.8688888888889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F31-5.75</f>
        <v>1.9400000000000004</v>
      </c>
      <c r="L31" s="142">
        <f>F31/5.75*100</f>
        <v>133.7391304347826</v>
      </c>
      <c r="M31" s="111">
        <f>E31-березень!E31</f>
        <v>0</v>
      </c>
      <c r="N31" s="179">
        <f>F31-березень!F31</f>
        <v>0</v>
      </c>
      <c r="O31" s="112">
        <f t="shared" si="4"/>
        <v>0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14246.029999999999</v>
      </c>
      <c r="F33" s="15">
        <f>F34+F35+F36+F37+F38+F39+F41+F42+F43+F44+F45+F50+F51+F55-0.02</f>
        <v>16513.69</v>
      </c>
      <c r="G33" s="15">
        <f>G34+G35+G36+G37+G38+G39+G41+G42+G43+G44+G45+G50+G51+G55</f>
        <v>2267.6799999999994</v>
      </c>
      <c r="H33" s="38">
        <f>F33/E33*100</f>
        <v>115.91783816263197</v>
      </c>
      <c r="I33" s="28">
        <f>F33-D33</f>
        <v>-26306.31</v>
      </c>
      <c r="J33" s="28">
        <f>F33/D33*100</f>
        <v>38.56536665109761</v>
      </c>
      <c r="K33" s="15">
        <f>F33-10433.59</f>
        <v>6080.0999999999985</v>
      </c>
      <c r="L33" s="15">
        <f>F33/10433.59*100</f>
        <v>158.27428526518673</v>
      </c>
      <c r="M33" s="15">
        <f>M34+M35+M36+M37+M38+M39+M41+M42+M43+M44+M45+M50+M51+M55</f>
        <v>3735.999</v>
      </c>
      <c r="N33" s="15">
        <f>N34+N35+N36+N37+N38+N39+N41+N42+N43+N44+N45+N50+N51+N55</f>
        <v>5841.423</v>
      </c>
      <c r="O33" s="15">
        <f>O34+O35+O36+O37+O38+O39+O41+O42+O43+O44+O45+O50+O51+O55</f>
        <v>2105.424</v>
      </c>
      <c r="P33" s="15">
        <f>N33/M33*100</f>
        <v>156.35504720424177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95.75</v>
      </c>
      <c r="G34" s="36">
        <f>F34-E34</f>
        <v>41.75</v>
      </c>
      <c r="H34" s="32">
        <f aca="true" t="shared" si="7" ref="H34:H56">F34/E34*100</f>
        <v>177.3148148148148</v>
      </c>
      <c r="I34" s="42">
        <f>F34-D34</f>
        <v>-4.25</v>
      </c>
      <c r="J34" s="42">
        <f>F34/D34*100</f>
        <v>95.75</v>
      </c>
      <c r="K34" s="42">
        <f>F34-83.98</f>
        <v>11.769999999999996</v>
      </c>
      <c r="L34" s="42">
        <f>F34/83.98*100</f>
        <v>114.01524172422003</v>
      </c>
      <c r="M34" s="32">
        <f>E34-березень!E34</f>
        <v>3</v>
      </c>
      <c r="N34" s="178">
        <f>F34-березень!F34</f>
        <v>1.1029999999999944</v>
      </c>
      <c r="O34" s="40">
        <f>N34-M34</f>
        <v>-1.8970000000000056</v>
      </c>
      <c r="P34" s="42">
        <f aca="true" t="shared" si="8" ref="P34:P56">N34/M34*100</f>
        <v>36.76666666666648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36">
        <f aca="true" t="shared" si="9" ref="G35:G57">F35-E35</f>
        <v>2216.41</v>
      </c>
      <c r="H35" s="32">
        <f t="shared" si="7"/>
        <v>148.85188450517964</v>
      </c>
      <c r="I35" s="42">
        <f aca="true" t="shared" si="10" ref="I35:I57">F35-D35</f>
        <v>-3246.59</v>
      </c>
      <c r="J35" s="42">
        <f>F35/D35*100</f>
        <v>67.5341</v>
      </c>
      <c r="K35" s="42">
        <f>F35-0</f>
        <v>6753.41</v>
      </c>
      <c r="L35" s="42"/>
      <c r="M35" s="32">
        <f>E35-березень!E35</f>
        <v>1000</v>
      </c>
      <c r="N35" s="178">
        <f>F35-березень!F35</f>
        <v>3216.0299999999997</v>
      </c>
      <c r="O35" s="40">
        <f aca="true" t="shared" si="11" ref="O35:O57">N35-M35</f>
        <v>2216.0299999999997</v>
      </c>
      <c r="P35" s="42">
        <f t="shared" si="8"/>
        <v>321.603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27.23</v>
      </c>
      <c r="G36" s="36">
        <f t="shared" si="9"/>
        <v>-44.209999999999994</v>
      </c>
      <c r="H36" s="32">
        <f t="shared" si="7"/>
        <v>38.11590145576708</v>
      </c>
      <c r="I36" s="42">
        <f t="shared" si="10"/>
        <v>-372.77</v>
      </c>
      <c r="J36" s="42">
        <f aca="true" t="shared" si="12" ref="J36:J56">F36/D36*100</f>
        <v>6.807499999999999</v>
      </c>
      <c r="K36" s="42">
        <f>F36-18.24</f>
        <v>8.990000000000002</v>
      </c>
      <c r="L36" s="42">
        <f>F36/18.24*100</f>
        <v>149.2872807017544</v>
      </c>
      <c r="M36" s="32">
        <f>E36-березень!E36</f>
        <v>20</v>
      </c>
      <c r="N36" s="178">
        <f>F36-березень!F36</f>
        <v>0.2699999999999996</v>
      </c>
      <c r="O36" s="40">
        <f t="shared" si="11"/>
        <v>-19.73</v>
      </c>
      <c r="P36" s="42">
        <f t="shared" si="8"/>
        <v>1.3499999999999979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E37-березень!E37</f>
        <v>0</v>
      </c>
      <c r="N37" s="178">
        <f>F37-березень!F37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33.16</v>
      </c>
      <c r="G38" s="36">
        <f t="shared" si="9"/>
        <v>-6.840000000000003</v>
      </c>
      <c r="H38" s="32">
        <f t="shared" si="7"/>
        <v>82.89999999999999</v>
      </c>
      <c r="I38" s="42">
        <f t="shared" si="10"/>
        <v>-116.84</v>
      </c>
      <c r="J38" s="42">
        <f t="shared" si="12"/>
        <v>22.106666666666662</v>
      </c>
      <c r="K38" s="42">
        <f>F38-41.25</f>
        <v>-8.090000000000003</v>
      </c>
      <c r="L38" s="42">
        <f>F38/41.25*100</f>
        <v>80.38787878787878</v>
      </c>
      <c r="M38" s="32">
        <f>E38-березень!E38</f>
        <v>10</v>
      </c>
      <c r="N38" s="178">
        <f>F38-березень!F38</f>
        <v>12.759999999999998</v>
      </c>
      <c r="O38" s="40">
        <f t="shared" si="11"/>
        <v>2.759999999999998</v>
      </c>
      <c r="P38" s="42">
        <f t="shared" si="8"/>
        <v>127.59999999999998</v>
      </c>
      <c r="Q38" s="42"/>
      <c r="R38" s="100"/>
    </row>
    <row r="39" spans="1:18" s="6" customFormat="1" ht="30.75">
      <c r="A39" s="8"/>
      <c r="B39" s="187" t="s">
        <v>124</v>
      </c>
      <c r="C39" s="54">
        <v>22010300</v>
      </c>
      <c r="D39" s="33">
        <v>90</v>
      </c>
      <c r="E39" s="33">
        <v>24</v>
      </c>
      <c r="F39" s="170">
        <v>0</v>
      </c>
      <c r="G39" s="36">
        <f t="shared" si="9"/>
        <v>-24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E39-березень!E39</f>
        <v>8</v>
      </c>
      <c r="N39" s="178">
        <f>F39-березень!F39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E40-березень!E40</f>
        <v>0</v>
      </c>
      <c r="N40" s="178">
        <f>F40-березень!F40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2939.02</v>
      </c>
      <c r="F41" s="170">
        <v>3077.97</v>
      </c>
      <c r="G41" s="36">
        <f t="shared" si="9"/>
        <v>138.94999999999982</v>
      </c>
      <c r="H41" s="32">
        <f t="shared" si="7"/>
        <v>104.72776639832324</v>
      </c>
      <c r="I41" s="42">
        <f t="shared" si="10"/>
        <v>-6822.030000000001</v>
      </c>
      <c r="J41" s="42">
        <f t="shared" si="12"/>
        <v>31.090606060606056</v>
      </c>
      <c r="K41" s="42">
        <f>F41-3348.03</f>
        <v>-270.0600000000004</v>
      </c>
      <c r="L41" s="42">
        <f>F41/3348.03*100</f>
        <v>91.93376403437244</v>
      </c>
      <c r="M41" s="32">
        <f>E41-березень!E41</f>
        <v>800</v>
      </c>
      <c r="N41" s="178">
        <f>F41-березень!F41</f>
        <v>738.3899999999999</v>
      </c>
      <c r="O41" s="40">
        <f t="shared" si="11"/>
        <v>-61.61000000000013</v>
      </c>
      <c r="P41" s="42">
        <f t="shared" si="8"/>
        <v>92.29874999999998</v>
      </c>
      <c r="Q41" s="42"/>
      <c r="R41" s="100"/>
    </row>
    <row r="42" spans="1:18" s="6" customFormat="1" ht="30.75">
      <c r="A42" s="8"/>
      <c r="B42" s="188" t="s">
        <v>111</v>
      </c>
      <c r="C42" s="77">
        <v>22012600</v>
      </c>
      <c r="D42" s="33">
        <v>1500</v>
      </c>
      <c r="E42" s="33">
        <v>390</v>
      </c>
      <c r="F42" s="170">
        <v>1.37</v>
      </c>
      <c r="G42" s="36">
        <f t="shared" si="9"/>
        <v>-388.63</v>
      </c>
      <c r="H42" s="32">
        <f t="shared" si="7"/>
        <v>0.3512820512820513</v>
      </c>
      <c r="I42" s="42">
        <f t="shared" si="10"/>
        <v>-1498.63</v>
      </c>
      <c r="J42" s="42">
        <f t="shared" si="12"/>
        <v>0.09133333333333334</v>
      </c>
      <c r="K42" s="42">
        <f>F42-0</f>
        <v>1.37</v>
      </c>
      <c r="L42" s="42"/>
      <c r="M42" s="32">
        <f>E42-березень!E42</f>
        <v>130</v>
      </c>
      <c r="N42" s="178">
        <f>F42-березень!F42</f>
        <v>0.17000000000000015</v>
      </c>
      <c r="O42" s="40">
        <f t="shared" si="11"/>
        <v>-129.83</v>
      </c>
      <c r="P42" s="42">
        <f t="shared" si="8"/>
        <v>0.1307692307692309</v>
      </c>
      <c r="Q42" s="42"/>
      <c r="R42" s="100"/>
    </row>
    <row r="43" spans="1:18" s="6" customFormat="1" ht="30.75">
      <c r="A43" s="8"/>
      <c r="B43" s="188" t="s">
        <v>125</v>
      </c>
      <c r="C43" s="77">
        <v>22012900</v>
      </c>
      <c r="D43" s="33">
        <v>50</v>
      </c>
      <c r="E43" s="33">
        <v>12</v>
      </c>
      <c r="F43" s="170">
        <v>0</v>
      </c>
      <c r="G43" s="36">
        <f t="shared" si="9"/>
        <v>-12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E43-березень!E43</f>
        <v>4</v>
      </c>
      <c r="N43" s="178">
        <f>F43-березень!F43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2666.23</v>
      </c>
      <c r="F44" s="170">
        <v>2631.35</v>
      </c>
      <c r="G44" s="36">
        <f t="shared" si="9"/>
        <v>-34.88000000000011</v>
      </c>
      <c r="H44" s="32">
        <f t="shared" si="7"/>
        <v>98.69178577992146</v>
      </c>
      <c r="I44" s="42">
        <f t="shared" si="10"/>
        <v>-5868.65</v>
      </c>
      <c r="J44" s="42">
        <f t="shared" si="12"/>
        <v>30.957058823529408</v>
      </c>
      <c r="K44" s="42">
        <f>F44-2673.74</f>
        <v>-42.38999999999987</v>
      </c>
      <c r="L44" s="42">
        <f>F44/2673.74*100</f>
        <v>98.41458032568612</v>
      </c>
      <c r="M44" s="32">
        <f>E44-березень!E44</f>
        <v>650</v>
      </c>
      <c r="N44" s="178">
        <f>F44-березень!F44</f>
        <v>629.8199999999999</v>
      </c>
      <c r="O44" s="40">
        <f t="shared" si="11"/>
        <v>-20.180000000000064</v>
      </c>
      <c r="P44" s="42">
        <f t="shared" si="8"/>
        <v>96.8953846153846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2014.19</v>
      </c>
      <c r="F45" s="170">
        <v>1923.43</v>
      </c>
      <c r="G45" s="36">
        <f t="shared" si="9"/>
        <v>-90.75999999999999</v>
      </c>
      <c r="H45" s="32">
        <f t="shared" si="7"/>
        <v>95.49397028085733</v>
      </c>
      <c r="I45" s="42">
        <f t="shared" si="10"/>
        <v>-5376.57</v>
      </c>
      <c r="J45" s="42">
        <f t="shared" si="12"/>
        <v>26.348356164383564</v>
      </c>
      <c r="K45" s="132">
        <f>F45-2831.1</f>
        <v>-907.6699999999998</v>
      </c>
      <c r="L45" s="132">
        <f>F45/2831.1*100</f>
        <v>67.93931687330014</v>
      </c>
      <c r="M45" s="32">
        <f>E45-березень!E45</f>
        <v>641</v>
      </c>
      <c r="N45" s="178">
        <f>F45-березень!F45</f>
        <v>423.33000000000015</v>
      </c>
      <c r="O45" s="40">
        <f t="shared" si="11"/>
        <v>-217.66999999999985</v>
      </c>
      <c r="P45" s="132">
        <f t="shared" si="8"/>
        <v>66.04212168486741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288.99</v>
      </c>
      <c r="F46" s="171">
        <v>230.56</v>
      </c>
      <c r="G46" s="36">
        <f t="shared" si="9"/>
        <v>-58.43000000000001</v>
      </c>
      <c r="H46" s="32">
        <f t="shared" si="7"/>
        <v>79.78130731167168</v>
      </c>
      <c r="I46" s="110">
        <f t="shared" si="10"/>
        <v>-869.44</v>
      </c>
      <c r="J46" s="110">
        <f t="shared" si="12"/>
        <v>20.96</v>
      </c>
      <c r="K46" s="110">
        <f>F46-319.39</f>
        <v>-88.82999999999998</v>
      </c>
      <c r="L46" s="110">
        <f>F46/319.39*100</f>
        <v>72.18760762703906</v>
      </c>
      <c r="M46" s="111">
        <f>E46-березень!E46</f>
        <v>100</v>
      </c>
      <c r="N46" s="179">
        <f>F46-березень!F46</f>
        <v>66.88</v>
      </c>
      <c r="O46" s="112">
        <f t="shared" si="11"/>
        <v>-33.120000000000005</v>
      </c>
      <c r="P46" s="132">
        <f t="shared" si="8"/>
        <v>66.88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3.04</v>
      </c>
      <c r="F47" s="171">
        <v>0.12</v>
      </c>
      <c r="G47" s="36">
        <f t="shared" si="9"/>
        <v>-2.92</v>
      </c>
      <c r="H47" s="32">
        <f t="shared" si="7"/>
        <v>3.9473684210526314</v>
      </c>
      <c r="I47" s="110">
        <f t="shared" si="10"/>
        <v>-44.88</v>
      </c>
      <c r="J47" s="110">
        <f t="shared" si="12"/>
        <v>0.26666666666666666</v>
      </c>
      <c r="K47" s="110">
        <f>F47-44.45</f>
        <v>-44.330000000000005</v>
      </c>
      <c r="L47" s="110">
        <f>F47/44.45*100</f>
        <v>0.2699662542182227</v>
      </c>
      <c r="M47" s="111">
        <f>E47-березень!E47</f>
        <v>1</v>
      </c>
      <c r="N47" s="179">
        <f>F47-березень!F47</f>
        <v>0</v>
      </c>
      <c r="O47" s="112">
        <f t="shared" si="11"/>
        <v>-1</v>
      </c>
      <c r="P47" s="132">
        <f t="shared" si="8"/>
        <v>0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/>
      <c r="I48" s="110">
        <f t="shared" si="10"/>
        <v>-1</v>
      </c>
      <c r="J48" s="110">
        <f t="shared" si="12"/>
        <v>0</v>
      </c>
      <c r="K48" s="110">
        <f>F48-0.73</f>
        <v>-0.73</v>
      </c>
      <c r="L48" s="110">
        <f>F48/0.73*100</f>
        <v>0</v>
      </c>
      <c r="M48" s="111">
        <f>E48-березень!E48</f>
        <v>0</v>
      </c>
      <c r="N48" s="179">
        <f>F48-березень!F48</f>
        <v>0</v>
      </c>
      <c r="O48" s="112">
        <f t="shared" si="11"/>
        <v>0</v>
      </c>
      <c r="P48" s="132"/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1722.17</v>
      </c>
      <c r="F49" s="171">
        <v>1692.76</v>
      </c>
      <c r="G49" s="36">
        <f t="shared" si="9"/>
        <v>-29.410000000000082</v>
      </c>
      <c r="H49" s="32">
        <f t="shared" si="7"/>
        <v>98.2922707978887</v>
      </c>
      <c r="I49" s="110">
        <f t="shared" si="10"/>
        <v>-4461.24</v>
      </c>
      <c r="J49" s="110">
        <f t="shared" si="12"/>
        <v>27.50666233344166</v>
      </c>
      <c r="K49" s="110">
        <f>F49-2466.52</f>
        <v>-773.76</v>
      </c>
      <c r="L49" s="110">
        <f>F49/2466.52*100</f>
        <v>68.62948607755057</v>
      </c>
      <c r="M49" s="111">
        <f>E49-березень!E49</f>
        <v>540</v>
      </c>
      <c r="N49" s="179">
        <f>F49-березень!F49</f>
        <v>356.46000000000004</v>
      </c>
      <c r="O49" s="112">
        <f t="shared" si="11"/>
        <v>-183.53999999999996</v>
      </c>
      <c r="P49" s="132">
        <f t="shared" si="8"/>
        <v>66.01111111111112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70">
        <v>2.46</v>
      </c>
      <c r="G50" s="36">
        <f t="shared" si="9"/>
        <v>2.29</v>
      </c>
      <c r="H50" s="32">
        <f t="shared" si="7"/>
        <v>1447.0588235294117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E50-березень!E50</f>
        <v>-0.0010000000000000009</v>
      </c>
      <c r="N50" s="178">
        <f>F50-березень!F50</f>
        <v>0</v>
      </c>
      <c r="O50" s="40">
        <f t="shared" si="11"/>
        <v>0.0010000000000000009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1477.98</v>
      </c>
      <c r="F51" s="170">
        <v>1934.39</v>
      </c>
      <c r="G51" s="36">
        <f t="shared" si="9"/>
        <v>456.4100000000001</v>
      </c>
      <c r="H51" s="32">
        <f t="shared" si="7"/>
        <v>130.8806614433213</v>
      </c>
      <c r="I51" s="42">
        <f t="shared" si="10"/>
        <v>-2865.6099999999997</v>
      </c>
      <c r="J51" s="42">
        <f t="shared" si="12"/>
        <v>40.29979166666667</v>
      </c>
      <c r="K51" s="42">
        <f>F51-1435.76</f>
        <v>498.6300000000001</v>
      </c>
      <c r="L51" s="42">
        <f>F51/1435.76*100</f>
        <v>134.72934195130105</v>
      </c>
      <c r="M51" s="32">
        <f>E51-березень!E51</f>
        <v>470</v>
      </c>
      <c r="N51" s="178">
        <f>F51-березень!F51</f>
        <v>819.5500000000002</v>
      </c>
      <c r="O51" s="40">
        <f t="shared" si="11"/>
        <v>349.5500000000002</v>
      </c>
      <c r="P51" s="42">
        <f t="shared" si="8"/>
        <v>174.37234042553195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E52-березень!E52</f>
        <v>0</v>
      </c>
      <c r="N52" s="178">
        <f>F52-березень!F52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386.9</v>
      </c>
      <c r="G53" s="36"/>
      <c r="H53" s="32"/>
      <c r="I53" s="42"/>
      <c r="J53" s="42"/>
      <c r="K53" s="112">
        <f>F53-313.7</f>
        <v>73.19999999999999</v>
      </c>
      <c r="L53" s="112">
        <f>F53/313.7*100</f>
        <v>123.33439591966847</v>
      </c>
      <c r="M53" s="32">
        <f>E53-березень!E53</f>
        <v>0</v>
      </c>
      <c r="N53" s="179">
        <f>F53-березень!F53</f>
        <v>156.45999999999998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E54-березень!E54</f>
        <v>0</v>
      </c>
      <c r="N54" s="178">
        <f>F54-березень!F54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E55-березень!E55</f>
        <v>0</v>
      </c>
      <c r="N55" s="178">
        <f>F55-березень!F55</f>
        <v>0</v>
      </c>
      <c r="O55" s="40">
        <f t="shared" si="11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7.6</v>
      </c>
      <c r="F56" s="170">
        <v>13.52</v>
      </c>
      <c r="G56" s="36">
        <f t="shared" si="9"/>
        <v>5.92</v>
      </c>
      <c r="H56" s="32">
        <f t="shared" si="7"/>
        <v>177.89473684210526</v>
      </c>
      <c r="I56" s="42">
        <f t="shared" si="10"/>
        <v>-16.48</v>
      </c>
      <c r="J56" s="42">
        <f t="shared" si="12"/>
        <v>45.06666666666666</v>
      </c>
      <c r="K56" s="42">
        <f>F56-6.52</f>
        <v>7</v>
      </c>
      <c r="L56" s="42">
        <f>F56/6.52*100</f>
        <v>207.36196319018404</v>
      </c>
      <c r="M56" s="32">
        <f>E56-березень!E56</f>
        <v>2.3</v>
      </c>
      <c r="N56" s="178">
        <f>F56-березень!F56</f>
        <v>7.72</v>
      </c>
      <c r="O56" s="40">
        <f t="shared" si="11"/>
        <v>5.42</v>
      </c>
      <c r="P56" s="42">
        <f t="shared" si="8"/>
        <v>335.6521739130435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0.37</v>
      </c>
      <c r="G57" s="36">
        <f t="shared" si="9"/>
        <v>0.37</v>
      </c>
      <c r="H57" s="32"/>
      <c r="I57" s="42">
        <f t="shared" si="10"/>
        <v>-0.22999999999999998</v>
      </c>
      <c r="J57" s="42"/>
      <c r="K57" s="42">
        <f>F57-0.02</f>
        <v>0.35</v>
      </c>
      <c r="L57" s="42"/>
      <c r="M57" s="32">
        <f>E57-березень!E57</f>
        <v>0</v>
      </c>
      <c r="N57" s="178">
        <f>F57-березень!F57</f>
        <v>0.37</v>
      </c>
      <c r="O57" s="40">
        <f t="shared" si="11"/>
        <v>0.37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285928.30999999994</v>
      </c>
      <c r="F58" s="15">
        <f>F8+F33+F56+F57</f>
        <v>280500.12</v>
      </c>
      <c r="G58" s="37">
        <f>F58-E58</f>
        <v>-5428.189999999944</v>
      </c>
      <c r="H58" s="38">
        <f>F58/E58*100</f>
        <v>98.10155559622622</v>
      </c>
      <c r="I58" s="28">
        <f>F58-D58</f>
        <v>-603400.48</v>
      </c>
      <c r="J58" s="28">
        <f>F58/D58*100</f>
        <v>31.734351125002064</v>
      </c>
      <c r="K58" s="28">
        <f>F58-208977.28</f>
        <v>71522.84</v>
      </c>
      <c r="L58" s="28">
        <f>F58/208977.28*100</f>
        <v>134.22517510037454</v>
      </c>
      <c r="M58" s="15">
        <f>M8+M33+M56+M57</f>
        <v>75098.79899999998</v>
      </c>
      <c r="N58" s="15">
        <f>N8+N33+N56+N57</f>
        <v>60034.34299999998</v>
      </c>
      <c r="O58" s="41">
        <f>N58-M58</f>
        <v>-15064.456000000006</v>
      </c>
      <c r="P58" s="28">
        <f>N58/M58*100</f>
        <v>79.94048346898329</v>
      </c>
      <c r="Q58" s="28">
        <f>N58-34768</f>
        <v>25266.34299999998</v>
      </c>
      <c r="R58" s="128">
        <f>N58/34768</f>
        <v>1.7267125805338237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0.01</v>
      </c>
      <c r="G63" s="36"/>
      <c r="H63" s="32"/>
      <c r="I63" s="43"/>
      <c r="J63" s="43"/>
      <c r="K63" s="43">
        <f>F63-8.75</f>
        <v>-8.74</v>
      </c>
      <c r="L63" s="43"/>
      <c r="M63" s="33"/>
      <c r="N63" s="181">
        <f>F63-березень!F63</f>
        <v>0.01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F64-березень!F64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-0.26</v>
      </c>
      <c r="G65" s="45">
        <f>F65-E65</f>
        <v>-0.26</v>
      </c>
      <c r="H65" s="52"/>
      <c r="I65" s="44">
        <f>F65-D65</f>
        <v>-0.26</v>
      </c>
      <c r="J65" s="44"/>
      <c r="K65" s="44">
        <f>F65-(-5.9)</f>
        <v>5.640000000000001</v>
      </c>
      <c r="L65" s="44">
        <f>F65/(-5.9)*100</f>
        <v>4.406779661016949</v>
      </c>
      <c r="M65" s="45">
        <f>M64</f>
        <v>0</v>
      </c>
      <c r="N65" s="182">
        <f>SUM(N63:N64)</f>
        <v>0.01</v>
      </c>
      <c r="O65" s="44">
        <f>N65-M65</f>
        <v>0.01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366.6</v>
      </c>
      <c r="F67" s="175">
        <v>300.88</v>
      </c>
      <c r="G67" s="36">
        <f aca="true" t="shared" si="13" ref="G67:G77">F67-E67</f>
        <v>-65.72000000000003</v>
      </c>
      <c r="H67" s="32"/>
      <c r="I67" s="43">
        <f aca="true" t="shared" si="14" ref="I67:I77">F67-D67</f>
        <v>-3899.12</v>
      </c>
      <c r="J67" s="43">
        <f>F67/D67*100</f>
        <v>7.163809523809523</v>
      </c>
      <c r="K67" s="43">
        <f>F67-91.72</f>
        <v>209.16</v>
      </c>
      <c r="L67" s="43">
        <f>F67/91.72*100</f>
        <v>328.0418665503707</v>
      </c>
      <c r="M67" s="32">
        <f>E67-березень!E67</f>
        <v>294.6</v>
      </c>
      <c r="N67" s="178">
        <f>F67-березень!F67</f>
        <v>300.73</v>
      </c>
      <c r="O67" s="40">
        <f aca="true" t="shared" si="15" ref="O67:O80">N67-M67</f>
        <v>6.1299999999999955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1634.01</v>
      </c>
      <c r="F68" s="175">
        <v>460.27</v>
      </c>
      <c r="G68" s="36">
        <f t="shared" si="13"/>
        <v>-1173.74</v>
      </c>
      <c r="H68" s="32">
        <f>F68/E68*100</f>
        <v>28.16812626605712</v>
      </c>
      <c r="I68" s="43">
        <f t="shared" si="14"/>
        <v>-6998.73</v>
      </c>
      <c r="J68" s="43">
        <f>F68/D68*100</f>
        <v>6.170666309156723</v>
      </c>
      <c r="K68" s="43">
        <f>F68-1938.06</f>
        <v>-1477.79</v>
      </c>
      <c r="L68" s="43">
        <f>F68/1938.06*100</f>
        <v>23.74900673869746</v>
      </c>
      <c r="M68" s="32">
        <f>E68-березень!E68</f>
        <v>242.5999999999999</v>
      </c>
      <c r="N68" s="178">
        <f>F68-березень!F68</f>
        <v>141.63</v>
      </c>
      <c r="O68" s="40">
        <f t="shared" si="15"/>
        <v>-100.96999999999991</v>
      </c>
      <c r="P68" s="43">
        <f>N68/M68*100</f>
        <v>58.380049464138516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1188.85</v>
      </c>
      <c r="F69" s="175">
        <v>8661.73</v>
      </c>
      <c r="G69" s="36">
        <f t="shared" si="13"/>
        <v>7472.879999999999</v>
      </c>
      <c r="H69" s="32">
        <f>F69/E69*100</f>
        <v>728.5805610463893</v>
      </c>
      <c r="I69" s="43">
        <f t="shared" si="14"/>
        <v>2661.7299999999996</v>
      </c>
      <c r="J69" s="43">
        <f>F69/D69*100</f>
        <v>144.36216666666667</v>
      </c>
      <c r="K69" s="43">
        <f>F69-34.14</f>
        <v>8627.59</v>
      </c>
      <c r="L69" s="43">
        <f>F69/34.14*100</f>
        <v>25371.206795547743</v>
      </c>
      <c r="M69" s="32">
        <f>E69-березень!E69</f>
        <v>301.9999999999999</v>
      </c>
      <c r="N69" s="178">
        <f>F69-березень!F69</f>
        <v>704.6399999999994</v>
      </c>
      <c r="O69" s="40">
        <f t="shared" si="15"/>
        <v>402.63999999999953</v>
      </c>
      <c r="P69" s="43">
        <f>N69/M69*100</f>
        <v>233.32450331125818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4</v>
      </c>
      <c r="F70" s="175">
        <v>4</v>
      </c>
      <c r="G70" s="36">
        <f t="shared" si="13"/>
        <v>0</v>
      </c>
      <c r="H70" s="32">
        <f>F70/E70*100</f>
        <v>100</v>
      </c>
      <c r="I70" s="43">
        <f t="shared" si="14"/>
        <v>-8</v>
      </c>
      <c r="J70" s="43">
        <f>F70/D70*100</f>
        <v>33.33333333333333</v>
      </c>
      <c r="K70" s="43">
        <f>F70-0</f>
        <v>4</v>
      </c>
      <c r="L70" s="43"/>
      <c r="M70" s="32">
        <f>E70-березень!E70</f>
        <v>1</v>
      </c>
      <c r="N70" s="178">
        <f>F70-березень!F70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3193.46</v>
      </c>
      <c r="F71" s="176">
        <f>F67+F68+F69+F70</f>
        <v>9426.88</v>
      </c>
      <c r="G71" s="45">
        <f t="shared" si="13"/>
        <v>6233.419999999999</v>
      </c>
      <c r="H71" s="52">
        <f>F71/E71*100</f>
        <v>295.1933013095514</v>
      </c>
      <c r="I71" s="44">
        <f t="shared" si="14"/>
        <v>-8244.12</v>
      </c>
      <c r="J71" s="44">
        <f>F71/D71*100</f>
        <v>53.346613094901244</v>
      </c>
      <c r="K71" s="44">
        <f>F71-1938.06</f>
        <v>7488.82</v>
      </c>
      <c r="L71" s="44">
        <f>F71/1938.06*100</f>
        <v>486.40805754207815</v>
      </c>
      <c r="M71" s="45">
        <f>M67+M68+M69+M70</f>
        <v>840.1999999999998</v>
      </c>
      <c r="N71" s="183">
        <f>N67+N68+N69+N70</f>
        <v>1147.9999999999995</v>
      </c>
      <c r="O71" s="44">
        <f t="shared" si="15"/>
        <v>307.7999999999997</v>
      </c>
      <c r="P71" s="44">
        <f>N71/M71*100</f>
        <v>136.63413472982623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2.48</v>
      </c>
      <c r="G72" s="36">
        <f t="shared" si="13"/>
        <v>2.48</v>
      </c>
      <c r="H72" s="32"/>
      <c r="I72" s="43">
        <f t="shared" si="14"/>
        <v>1.48</v>
      </c>
      <c r="J72" s="43"/>
      <c r="K72" s="43">
        <f>F72-0</f>
        <v>2.48</v>
      </c>
      <c r="L72" s="43"/>
      <c r="M72" s="32">
        <f>E72-березень!E72</f>
        <v>0</v>
      </c>
      <c r="N72" s="178">
        <f>F72-березень!F72</f>
        <v>2.04</v>
      </c>
      <c r="O72" s="40">
        <f t="shared" si="15"/>
        <v>2.04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E73-березень!E73</f>
        <v>0</v>
      </c>
      <c r="N73" s="178">
        <f>F73-березень!F73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2020.7</v>
      </c>
      <c r="F74" s="175">
        <v>2032.23</v>
      </c>
      <c r="G74" s="36">
        <f t="shared" si="13"/>
        <v>11.529999999999973</v>
      </c>
      <c r="H74" s="32">
        <f>F74/E74*100</f>
        <v>100.57059434849309</v>
      </c>
      <c r="I74" s="43">
        <f t="shared" si="14"/>
        <v>-7467.77</v>
      </c>
      <c r="J74" s="40">
        <f>F74/D74*100</f>
        <v>21.391894736842104</v>
      </c>
      <c r="K74" s="40">
        <f>F74-0</f>
        <v>2032.23</v>
      </c>
      <c r="L74" s="43"/>
      <c r="M74" s="32">
        <f>E74-березень!E74</f>
        <v>15</v>
      </c>
      <c r="N74" s="178">
        <f>F74-березень!F74</f>
        <v>13.230000000000018</v>
      </c>
      <c r="O74" s="40">
        <f>N74-M74</f>
        <v>-1.7699999999999818</v>
      </c>
      <c r="P74" s="46">
        <f>N74/M74*100</f>
        <v>88.20000000000012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F75-0.7</f>
        <v>-0.29999999999999993</v>
      </c>
      <c r="L75" s="43">
        <f>F75/0.7*100</f>
        <v>57.14285714285715</v>
      </c>
      <c r="M75" s="32">
        <f>E75-березень!E75</f>
        <v>0</v>
      </c>
      <c r="N75" s="178">
        <f>F75-березень!F75</f>
        <v>0</v>
      </c>
      <c r="O75" s="40">
        <f t="shared" si="15"/>
        <v>0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2020.7</v>
      </c>
      <c r="F76" s="176">
        <f>F72+F75+F73+F74</f>
        <v>2035.1100000000001</v>
      </c>
      <c r="G76" s="30">
        <f>G72+G75+G73+G74</f>
        <v>14.409999999999972</v>
      </c>
      <c r="H76" s="52">
        <f>F76/E76*100</f>
        <v>100.71311921611323</v>
      </c>
      <c r="I76" s="44">
        <f t="shared" si="14"/>
        <v>-7465.889999999999</v>
      </c>
      <c r="J76" s="44">
        <f>F76/D76*100</f>
        <v>21.419955794126935</v>
      </c>
      <c r="K76" s="44">
        <f>F76-0.7</f>
        <v>2034.41</v>
      </c>
      <c r="L76" s="44">
        <f>F76/0.7*100</f>
        <v>290730</v>
      </c>
      <c r="M76" s="45">
        <f>M72+M75+M73+M74</f>
        <v>15</v>
      </c>
      <c r="N76" s="183">
        <f>N72+N75+N73+N74</f>
        <v>15.270000000000017</v>
      </c>
      <c r="O76" s="45">
        <f>O72+O75+O73+O74</f>
        <v>0.2700000000000182</v>
      </c>
      <c r="P76" s="44">
        <f>N76/M76*100</f>
        <v>101.80000000000011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13.14</v>
      </c>
      <c r="F77" s="175">
        <v>9.19</v>
      </c>
      <c r="G77" s="36">
        <f t="shared" si="13"/>
        <v>-3.950000000000001</v>
      </c>
      <c r="H77" s="32">
        <f>F77/E77*100</f>
        <v>69.93911719939116</v>
      </c>
      <c r="I77" s="43">
        <f t="shared" si="14"/>
        <v>-33.81</v>
      </c>
      <c r="J77" s="43">
        <f>F77/D77*100</f>
        <v>21.37209302325581</v>
      </c>
      <c r="K77" s="43">
        <f>F77-13.38</f>
        <v>-4.190000000000001</v>
      </c>
      <c r="L77" s="43">
        <f>F77/13.38*100</f>
        <v>68.6846038863976</v>
      </c>
      <c r="M77" s="32">
        <f>E77-березень!E77</f>
        <v>0.4299999999999997</v>
      </c>
      <c r="N77" s="178">
        <f>F77-березень!F77</f>
        <v>0</v>
      </c>
      <c r="O77" s="40">
        <f t="shared" si="15"/>
        <v>-0.4299999999999997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5227.3</v>
      </c>
      <c r="F79" s="24">
        <f>F65+F77+F71+F76+F78</f>
        <v>11470.92</v>
      </c>
      <c r="G79" s="37">
        <f>F79-E79</f>
        <v>6243.62</v>
      </c>
      <c r="H79" s="38">
        <f>F79/E79*100</f>
        <v>219.44254203891109</v>
      </c>
      <c r="I79" s="28">
        <f>F79-D79</f>
        <v>-15744.08</v>
      </c>
      <c r="J79" s="28">
        <f>F79/D79*100</f>
        <v>42.14925592504134</v>
      </c>
      <c r="K79" s="28">
        <f>F79-2072.3</f>
        <v>9398.619999999999</v>
      </c>
      <c r="L79" s="28">
        <f>F79/2072.3*100</f>
        <v>553.5356849876948</v>
      </c>
      <c r="M79" s="24">
        <f>M65+M77+M71+M76</f>
        <v>855.6299999999998</v>
      </c>
      <c r="N79" s="24">
        <f>N65+N77+N71+N76+N78</f>
        <v>1163.2799999999995</v>
      </c>
      <c r="O79" s="28">
        <f t="shared" si="15"/>
        <v>307.64999999999975</v>
      </c>
      <c r="P79" s="28">
        <f>N79/M79*100</f>
        <v>135.95596227341255</v>
      </c>
      <c r="Q79" s="28">
        <f>N79-8104.96</f>
        <v>-6941.68</v>
      </c>
      <c r="R79" s="101">
        <f>N79/8104.96</f>
        <v>0.14352692672141498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291155.6099999999</v>
      </c>
      <c r="F80" s="24">
        <f>F58+F79</f>
        <v>291971.04</v>
      </c>
      <c r="G80" s="37">
        <f>F80-E80</f>
        <v>815.4300000000512</v>
      </c>
      <c r="H80" s="38">
        <f>F80/E80*100</f>
        <v>100.28006673132626</v>
      </c>
      <c r="I80" s="28">
        <f>F80-D80</f>
        <v>-619144.56</v>
      </c>
      <c r="J80" s="28">
        <f>F80/D80*100</f>
        <v>32.04544406878776</v>
      </c>
      <c r="K80" s="28">
        <f>F80-211049.59</f>
        <v>80921.44999999998</v>
      </c>
      <c r="L80" s="28">
        <f>F80/211049.59*100</f>
        <v>138.34238673479535</v>
      </c>
      <c r="M80" s="15">
        <f>M58+M79</f>
        <v>75954.42899999999</v>
      </c>
      <c r="N80" s="15">
        <f>N58+N79</f>
        <v>61197.62299999998</v>
      </c>
      <c r="O80" s="28">
        <f t="shared" si="15"/>
        <v>-14756.806000000011</v>
      </c>
      <c r="P80" s="28">
        <f>N80/M80*100</f>
        <v>80.57150031369466</v>
      </c>
      <c r="Q80" s="28">
        <f>N80-42872.96</f>
        <v>18324.66299999998</v>
      </c>
      <c r="R80" s="101">
        <f>N80/42872.96</f>
        <v>1.4274177243651938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3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5021.485333333335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42486</v>
      </c>
      <c r="D84" s="31">
        <v>3750.6</v>
      </c>
      <c r="G84" s="4" t="s">
        <v>59</v>
      </c>
      <c r="N84" s="216"/>
      <c r="O84" s="216"/>
    </row>
    <row r="85" spans="3:15" ht="15">
      <c r="C85" s="87">
        <v>42485</v>
      </c>
      <c r="D85" s="31">
        <v>3394.4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42482</v>
      </c>
      <c r="D86" s="31">
        <v>4576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v>0.534</v>
      </c>
      <c r="E88" s="74"/>
      <c r="F88" s="140" t="s">
        <v>137</v>
      </c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fitToWidth="1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34" sqref="F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90" t="s">
        <v>148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/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00" t="s">
        <v>147</v>
      </c>
      <c r="N3" s="203" t="s">
        <v>143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146</v>
      </c>
      <c r="F4" s="206" t="s">
        <v>34</v>
      </c>
      <c r="G4" s="208" t="s">
        <v>141</v>
      </c>
      <c r="H4" s="201" t="s">
        <v>142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10" t="s">
        <v>149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78.7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144</v>
      </c>
      <c r="L5" s="214"/>
      <c r="M5" s="202"/>
      <c r="N5" s="211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16"/>
      <c r="O84" s="216"/>
    </row>
    <row r="85" spans="3:15" ht="15">
      <c r="C85" s="87">
        <v>42459</v>
      </c>
      <c r="D85" s="31">
        <v>7576.3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42458</v>
      </c>
      <c r="D86" s="31">
        <v>9190.1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f>4343.7</f>
        <v>4343.7</v>
      </c>
      <c r="E88" s="74"/>
      <c r="F88" s="140" t="s">
        <v>137</v>
      </c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0" t="s">
        <v>139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/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26" t="s">
        <v>128</v>
      </c>
      <c r="N3" s="203" t="s">
        <v>119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127</v>
      </c>
      <c r="F4" s="206" t="s">
        <v>34</v>
      </c>
      <c r="G4" s="208" t="s">
        <v>116</v>
      </c>
      <c r="H4" s="201" t="s">
        <v>117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10" t="s">
        <v>140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92.2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118</v>
      </c>
      <c r="L5" s="214"/>
      <c r="M5" s="202"/>
      <c r="N5" s="211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16"/>
      <c r="O84" s="216"/>
    </row>
    <row r="85" spans="3:15" ht="15">
      <c r="C85" s="87">
        <v>42426</v>
      </c>
      <c r="D85" s="31">
        <v>6256.2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42425</v>
      </c>
      <c r="D86" s="31">
        <v>3536.9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v>505.3</v>
      </c>
      <c r="E88" s="74"/>
      <c r="F88" s="140" t="s">
        <v>137</v>
      </c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2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0" t="s">
        <v>114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 t="s">
        <v>135</v>
      </c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26" t="s">
        <v>132</v>
      </c>
      <c r="N3" s="203" t="s">
        <v>66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129</v>
      </c>
      <c r="F4" s="206" t="s">
        <v>34</v>
      </c>
      <c r="G4" s="208" t="s">
        <v>130</v>
      </c>
      <c r="H4" s="201" t="s">
        <v>131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27" t="s">
        <v>133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92.2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134</v>
      </c>
      <c r="L5" s="214"/>
      <c r="M5" s="202"/>
      <c r="N5" s="228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16"/>
      <c r="O84" s="216"/>
    </row>
    <row r="85" spans="3:15" ht="15">
      <c r="C85" s="87">
        <v>42397</v>
      </c>
      <c r="D85" s="31">
        <v>8685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42396</v>
      </c>
      <c r="D86" s="31">
        <v>4820.3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v>300.92</v>
      </c>
      <c r="E88" s="74"/>
      <c r="F88" s="140"/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4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0" t="s">
        <v>114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 t="s">
        <v>136</v>
      </c>
      <c r="C3" s="195" t="s">
        <v>0</v>
      </c>
      <c r="D3" s="196" t="s">
        <v>115</v>
      </c>
      <c r="E3" s="34"/>
      <c r="F3" s="197" t="s">
        <v>26</v>
      </c>
      <c r="G3" s="198"/>
      <c r="H3" s="198"/>
      <c r="I3" s="198"/>
      <c r="J3" s="199"/>
      <c r="K3" s="89"/>
      <c r="L3" s="89"/>
      <c r="M3" s="226" t="s">
        <v>107</v>
      </c>
      <c r="N3" s="203" t="s">
        <v>66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104</v>
      </c>
      <c r="F4" s="229" t="s">
        <v>34</v>
      </c>
      <c r="G4" s="208" t="s">
        <v>109</v>
      </c>
      <c r="H4" s="201" t="s">
        <v>110</v>
      </c>
      <c r="I4" s="208" t="s">
        <v>105</v>
      </c>
      <c r="J4" s="201" t="s">
        <v>106</v>
      </c>
      <c r="K4" s="91" t="s">
        <v>65</v>
      </c>
      <c r="L4" s="96" t="s">
        <v>64</v>
      </c>
      <c r="M4" s="201"/>
      <c r="N4" s="227" t="s">
        <v>103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76.5" customHeight="1">
      <c r="A5" s="193"/>
      <c r="B5" s="194"/>
      <c r="C5" s="195"/>
      <c r="D5" s="196"/>
      <c r="E5" s="205"/>
      <c r="F5" s="230"/>
      <c r="G5" s="209"/>
      <c r="H5" s="202"/>
      <c r="I5" s="209"/>
      <c r="J5" s="202"/>
      <c r="K5" s="213" t="s">
        <v>108</v>
      </c>
      <c r="L5" s="214"/>
      <c r="M5" s="202"/>
      <c r="N5" s="228"/>
      <c r="O5" s="209"/>
      <c r="P5" s="212"/>
      <c r="Q5" s="213" t="s">
        <v>126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15"/>
      <c r="H82" s="215"/>
      <c r="I82" s="215"/>
      <c r="J82" s="215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16"/>
      <c r="O83" s="216"/>
    </row>
    <row r="84" spans="3:15" ht="15">
      <c r="C84" s="87">
        <v>42397</v>
      </c>
      <c r="D84" s="31">
        <v>8685</v>
      </c>
      <c r="F84" s="166" t="s">
        <v>59</v>
      </c>
      <c r="G84" s="217"/>
      <c r="H84" s="217"/>
      <c r="I84" s="131"/>
      <c r="J84" s="218"/>
      <c r="K84" s="218"/>
      <c r="L84" s="218"/>
      <c r="M84" s="218"/>
      <c r="N84" s="216"/>
      <c r="O84" s="216"/>
    </row>
    <row r="85" spans="3:15" ht="15.75" customHeight="1">
      <c r="C85" s="87">
        <v>42396</v>
      </c>
      <c r="D85" s="31">
        <v>4820.3</v>
      </c>
      <c r="F85" s="167"/>
      <c r="G85" s="217"/>
      <c r="H85" s="217"/>
      <c r="I85" s="131"/>
      <c r="J85" s="219"/>
      <c r="K85" s="219"/>
      <c r="L85" s="219"/>
      <c r="M85" s="219"/>
      <c r="N85" s="216"/>
      <c r="O85" s="216"/>
    </row>
    <row r="86" spans="3:13" ht="15.75" customHeight="1">
      <c r="C86" s="87"/>
      <c r="F86" s="167"/>
      <c r="G86" s="223"/>
      <c r="H86" s="223"/>
      <c r="I86" s="139"/>
      <c r="J86" s="218"/>
      <c r="K86" s="218"/>
      <c r="L86" s="218"/>
      <c r="M86" s="218"/>
    </row>
    <row r="87" spans="2:13" ht="18.75" customHeight="1">
      <c r="B87" s="224" t="s">
        <v>57</v>
      </c>
      <c r="C87" s="225"/>
      <c r="D87" s="148">
        <v>300.92</v>
      </c>
      <c r="E87" s="74"/>
      <c r="F87" s="168"/>
      <c r="G87" s="217"/>
      <c r="H87" s="217"/>
      <c r="I87" s="141"/>
      <c r="J87" s="218"/>
      <c r="K87" s="218"/>
      <c r="L87" s="218"/>
      <c r="M87" s="218"/>
    </row>
    <row r="88" spans="6:12" ht="9.75" customHeight="1">
      <c r="F88" s="167"/>
      <c r="G88" s="217"/>
      <c r="H88" s="217"/>
      <c r="I88" s="73"/>
      <c r="J88" s="74"/>
      <c r="K88" s="74"/>
      <c r="L88" s="74"/>
    </row>
    <row r="89" spans="2:12" ht="22.5" customHeight="1" hidden="1">
      <c r="B89" s="220" t="s">
        <v>60</v>
      </c>
      <c r="C89" s="221"/>
      <c r="D89" s="86">
        <v>0</v>
      </c>
      <c r="E89" s="56" t="s">
        <v>24</v>
      </c>
      <c r="F89" s="167"/>
      <c r="G89" s="217"/>
      <c r="H89" s="217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17"/>
      <c r="O90" s="217"/>
    </row>
    <row r="91" spans="4:15" ht="15">
      <c r="D91" s="83"/>
      <c r="I91" s="31"/>
      <c r="N91" s="222"/>
      <c r="O91" s="222"/>
    </row>
    <row r="92" spans="14:15" ht="15">
      <c r="N92" s="217"/>
      <c r="O92" s="217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2016-04-25T11:25:10Z</cp:lastPrinted>
  <dcterms:created xsi:type="dcterms:W3CDTF">2003-07-28T11:27:56Z</dcterms:created>
  <dcterms:modified xsi:type="dcterms:W3CDTF">2016-04-27T08:43:45Z</dcterms:modified>
  <cp:category/>
  <cp:version/>
  <cp:contentType/>
  <cp:contentStatus/>
</cp:coreProperties>
</file>